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e13823439dadd/Rugby/EPRU/Financials/"/>
    </mc:Choice>
  </mc:AlternateContent>
  <xr:revisionPtr revIDLastSave="0" documentId="8_{4169F56D-400B-4EE5-83F2-7A59EDB1BEDE}" xr6:coauthVersionLast="45" xr6:coauthVersionMax="45" xr10:uidLastSave="{00000000-0000-0000-0000-000000000000}"/>
  <bookViews>
    <workbookView xWindow="2100" yWindow="0" windowWidth="16395" windowHeight="15600" xr2:uid="{00000000-000D-0000-FFFF-FFFF00000000}"/>
  </bookViews>
  <sheets>
    <sheet name="Profit and Loss" sheetId="2" r:id="rId1"/>
    <sheet name="Budget &amp; Variance" sheetId="3" r:id="rId2"/>
    <sheet name="Balance Sheet" sheetId="1" r:id="rId3"/>
    <sheet name="FY 2019-2020 Budg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4" l="1"/>
  <c r="C19" i="4"/>
  <c r="D19" i="4"/>
  <c r="D57" i="4" s="1"/>
  <c r="C29" i="4"/>
  <c r="C55" i="4" s="1"/>
  <c r="B55" i="4"/>
  <c r="D55" i="4"/>
  <c r="E9" i="3"/>
  <c r="E19" i="3" s="1"/>
  <c r="E10" i="3"/>
  <c r="E11" i="3"/>
  <c r="E12" i="3"/>
  <c r="E13" i="3"/>
  <c r="E14" i="3"/>
  <c r="E15" i="3"/>
  <c r="E16" i="3"/>
  <c r="E17" i="3"/>
  <c r="E18" i="3"/>
  <c r="B19" i="3"/>
  <c r="B60" i="3" s="1"/>
  <c r="C19" i="3"/>
  <c r="D19" i="3"/>
  <c r="D60" i="3" s="1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B58" i="3"/>
  <c r="C58" i="3"/>
  <c r="D58" i="3"/>
  <c r="B61" i="3"/>
  <c r="C61" i="3"/>
  <c r="D61" i="3"/>
  <c r="E61" i="3"/>
  <c r="B7" i="2"/>
  <c r="B8" i="2"/>
  <c r="B15" i="2" s="1"/>
  <c r="B16" i="2" s="1"/>
  <c r="B9" i="2"/>
  <c r="B10" i="2"/>
  <c r="B11" i="2"/>
  <c r="B12" i="2"/>
  <c r="B13" i="2"/>
  <c r="B14" i="2"/>
  <c r="B18" i="2"/>
  <c r="B45" i="2" s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8" i="2"/>
  <c r="B49" i="2" s="1"/>
  <c r="B50" i="2" s="1"/>
  <c r="B22" i="1"/>
  <c r="B21" i="1"/>
  <c r="B20" i="1"/>
  <c r="B23" i="1" s="1"/>
  <c r="B24" i="1" s="1"/>
  <c r="B13" i="1"/>
  <c r="B14" i="1" s="1"/>
  <c r="B10" i="1"/>
  <c r="B9" i="1"/>
  <c r="E58" i="3" l="1"/>
  <c r="B11" i="1"/>
  <c r="B15" i="1" s="1"/>
  <c r="B16" i="1" s="1"/>
  <c r="B46" i="2"/>
  <c r="B51" i="2" s="1"/>
  <c r="C60" i="3"/>
  <c r="C57" i="4"/>
  <c r="B57" i="4"/>
  <c r="E6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5" authorId="0" shapeId="0" xr:uid="{00000000-0006-0000-0000-000004000000}">
      <text>
        <r>
          <rPr>
            <sz val="11"/>
            <color rgb="FF000000"/>
            <rFont val="Calibri"/>
          </rPr>
          <t>$200 from Widener will be applied in February.
	-Eastern Pennsylvania Rugby Union</t>
        </r>
      </text>
    </comment>
    <comment ref="D30" authorId="0" shapeId="0" xr:uid="{00000000-0006-0000-0000-000003000000}">
      <text>
        <r>
          <rPr>
            <sz val="11"/>
            <color rgb="FF000000"/>
            <rFont val="Calibri"/>
          </rPr>
          <t>$2432.10 in IRS Fines
	-Eastern Pennsylvania Rugby Union</t>
        </r>
      </text>
    </comment>
    <comment ref="D46" authorId="0" shapeId="0" xr:uid="{00000000-0006-0000-0000-000001000000}">
      <text>
        <r>
          <rPr>
            <sz val="11"/>
            <color rgb="FF000000"/>
            <rFont val="Calibri"/>
          </rPr>
          <t>$3350 is reimbursable expenses that we have been reimbursed for.
	-Eastern Pennsylvania Rugby Union</t>
        </r>
      </text>
    </comment>
    <comment ref="D53" authorId="0" shapeId="0" xr:uid="{00000000-0006-0000-0000-000002000000}">
      <text>
        <r>
          <rPr>
            <sz val="11"/>
            <color rgb="FF000000"/>
            <rFont val="Calibri"/>
          </rPr>
          <t>Nate Ausperger for AGM
	-Eastern Pennsylvania Rugby Union</t>
        </r>
      </text>
    </comment>
  </commentList>
</comments>
</file>

<file path=xl/sharedStrings.xml><?xml version="1.0" encoding="utf-8"?>
<sst xmlns="http://schemas.openxmlformats.org/spreadsheetml/2006/main" count="213" uniqueCount="162">
  <si>
    <t>Total</t>
  </si>
  <si>
    <t>ASSETS</t>
  </si>
  <si>
    <t xml:space="preserve">   Current Assets</t>
  </si>
  <si>
    <t xml:space="preserve">      Bank Accounts</t>
  </si>
  <si>
    <t xml:space="preserve">         Checking</t>
  </si>
  <si>
    <t xml:space="preserve">         Money Market</t>
  </si>
  <si>
    <t xml:space="preserve">      Total Bank Accounts</t>
  </si>
  <si>
    <t xml:space="preserve">      Accounts Receivable</t>
  </si>
  <si>
    <t xml:space="preserve">         Accounts Receivable (A/R)</t>
  </si>
  <si>
    <t xml:space="preserve">      Total Accounts Receivable</t>
  </si>
  <si>
    <t xml:space="preserve">   Total Current Assets</t>
  </si>
  <si>
    <t>TOTAL ASSETS</t>
  </si>
  <si>
    <t>LIABILITIES AND EQUITY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</si>
  <si>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</si>
  <si>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</si>
  <si>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</si>
  <si>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</si>
  <si>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</si>
  <si>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</si>
  <si>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</si>
  <si>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Friday, Sep 06, 2019 03:29:45 PM GMT-7 - Accrual Basis</t>
  </si>
  <si>
    <t>Eastern Pennsylvania Rugby Union</t>
  </si>
  <si>
    <t>Balance Sheet</t>
  </si>
  <si>
    <t>As of August 31, 2019</t>
  </si>
  <si>
    <t>Friday, Sep 06, 2019 03:31:00 PM GMT-7 - Accrual Basis</t>
  </si>
  <si>
    <t>Net Income</t>
  </si>
  <si>
    <t>Net Other Income</t>
  </si>
  <si>
    <t>Total Other Income</t>
  </si>
  <si>
    <t xml:space="preserve">   Interest Earned</t>
  </si>
  <si>
    <t>Other Income</t>
  </si>
  <si>
    <t>Net Operating Income</t>
  </si>
  <si>
    <t>Total Expenses</t>
  </si>
  <si>
    <t xml:space="preserve">   Website Expense</t>
  </si>
  <si>
    <t xml:space="preserve">   USA Rugby NDS</t>
  </si>
  <si>
    <t xml:space="preserve">   USA Congress Travel Reimbursement</t>
  </si>
  <si>
    <t xml:space="preserve">   Uncategorized Expense</t>
  </si>
  <si>
    <t xml:space="preserve">   Travel</t>
  </si>
  <si>
    <t xml:space="preserve">   Storage Unit Rental</t>
  </si>
  <si>
    <t xml:space="preserve">   Reimbursable Expenses</t>
  </si>
  <si>
    <t xml:space="preserve">   Quickbooks Subscription</t>
  </si>
  <si>
    <t xml:space="preserve">   Postage</t>
  </si>
  <si>
    <t xml:space="preserve">   Philly Parks &amp; Rec Field Permits</t>
  </si>
  <si>
    <t xml:space="preserve">   Office Supplies &amp; Software</t>
  </si>
  <si>
    <t xml:space="preserve">   NSCRO Women's Tournament</t>
  </si>
  <si>
    <t xml:space="preserve">   NSCRO Women's Referee Fees</t>
  </si>
  <si>
    <t xml:space="preserve">   NSCRO Women's Club Fee's</t>
  </si>
  <si>
    <t xml:space="preserve">   NSCRO Women's All Star Travel/Lodging</t>
  </si>
  <si>
    <t xml:space="preserve">   Nationals Reimbursements Women's Club</t>
  </si>
  <si>
    <t xml:space="preserve">   Nationals Reimbursement Men's Club</t>
  </si>
  <si>
    <t xml:space="preserve">   Member Development/Clinic Reimbursements</t>
  </si>
  <si>
    <t xml:space="preserve">   MAC Championship Trophies</t>
  </si>
  <si>
    <t xml:space="preserve">   Legal &amp; Professional Services</t>
  </si>
  <si>
    <t xml:space="preserve">   IRS Fine</t>
  </si>
  <si>
    <t xml:space="preserve">   EPRU Women's All Star Team</t>
  </si>
  <si>
    <t xml:space="preserve">   EPRU Championships</t>
  </si>
  <si>
    <t xml:space="preserve">   Conference Calls</t>
  </si>
  <si>
    <t xml:space="preserve">   Board Meetings/AGM's</t>
  </si>
  <si>
    <t xml:space="preserve">   Bank Charges &amp; Fees</t>
  </si>
  <si>
    <t xml:space="preserve">   Advertising &amp; Marketing</t>
  </si>
  <si>
    <t>Expenses</t>
  </si>
  <si>
    <t>Gross Profit</t>
  </si>
  <si>
    <t>Total Income</t>
  </si>
  <si>
    <t xml:space="preserve">   USA Rugby Cipp Fees</t>
  </si>
  <si>
    <t xml:space="preserve">   Uncategorized Income</t>
  </si>
  <si>
    <t xml:space="preserve">   Tournament Application Fee's</t>
  </si>
  <si>
    <t xml:space="preserve">   Sales</t>
  </si>
  <si>
    <t xml:space="preserve">   NSCRO Women's Donations/Deposits</t>
  </si>
  <si>
    <t xml:space="preserve">   Match Forfeit Bond</t>
  </si>
  <si>
    <t xml:space="preserve">   Field Permit Reimbursements</t>
  </si>
  <si>
    <t xml:space="preserve">   Donations</t>
  </si>
  <si>
    <t>Income</t>
  </si>
  <si>
    <t>September 2018 - August 2019</t>
  </si>
  <si>
    <t>Profit and Loss</t>
  </si>
  <si>
    <t>PROFIT/LOSS</t>
  </si>
  <si>
    <t>TOTAL EXPENSES</t>
  </si>
  <si>
    <t>Misc Expense</t>
  </si>
  <si>
    <t>Website Expense</t>
  </si>
  <si>
    <t>USA Rugby National Development Summit</t>
  </si>
  <si>
    <t>USA Rugby Congress Meetings</t>
  </si>
  <si>
    <t>Travel</t>
  </si>
  <si>
    <t>SWAT 7's Referee Fee</t>
  </si>
  <si>
    <t>Storage Unit Rental</t>
  </si>
  <si>
    <t>Reimburseable Expense</t>
  </si>
  <si>
    <t>Referee Fee's</t>
  </si>
  <si>
    <t>Quickbooks Subscription</t>
  </si>
  <si>
    <t xml:space="preserve">Postage </t>
  </si>
  <si>
    <t>Philly Parks &amp; Rec Field Permits</t>
  </si>
  <si>
    <t>Office Supplies</t>
  </si>
  <si>
    <t>NSCRO Women's All Star Team</t>
  </si>
  <si>
    <t>NSCRO Women's Tournament</t>
  </si>
  <si>
    <t>NSCRO Women's Referees Fees</t>
  </si>
  <si>
    <t>NSCRO Women's Club Fees</t>
  </si>
  <si>
    <t>NCR4 15's Events</t>
  </si>
  <si>
    <t>NCR4 7's Events</t>
  </si>
  <si>
    <t>Nationals Reimbursements Women's Club</t>
  </si>
  <si>
    <t>Nationals Reimbursements Men's Club</t>
  </si>
  <si>
    <t>Merchandise</t>
  </si>
  <si>
    <t>Member Development (Clinics/Training)</t>
  </si>
  <si>
    <t>MAC Championship Trophies</t>
  </si>
  <si>
    <t>Match Forfeit Bond Refund</t>
  </si>
  <si>
    <t>Marketing Intern</t>
  </si>
  <si>
    <t>IRS Fine</t>
  </si>
  <si>
    <t>Legal &amp; Professional Fees</t>
  </si>
  <si>
    <t>EPRU Women's All Star Team</t>
  </si>
  <si>
    <t>EPRU Championships</t>
  </si>
  <si>
    <t>Conference Calls</t>
  </si>
  <si>
    <t>Clinic Building Rentals</t>
  </si>
  <si>
    <t>Board Meetings/AGM</t>
  </si>
  <si>
    <t>Bank Charges &amp; Fees</t>
  </si>
  <si>
    <t>Advertising</t>
  </si>
  <si>
    <t>EXPENSES</t>
  </si>
  <si>
    <t>TOTAL INCOME</t>
  </si>
  <si>
    <t>Misc/Uncategorized Income</t>
  </si>
  <si>
    <t>Interest Earned</t>
  </si>
  <si>
    <t>Fines</t>
  </si>
  <si>
    <t>Deposits on EPRU Sponsored Teams</t>
  </si>
  <si>
    <t>Field Permit Reimbursements</t>
  </si>
  <si>
    <t>Merchandise Sales</t>
  </si>
  <si>
    <t>Tournament Application Fees</t>
  </si>
  <si>
    <t>Donations</t>
  </si>
  <si>
    <t>Match Forfeit Bonds</t>
  </si>
  <si>
    <t>USA Rugby Cipp Fees</t>
  </si>
  <si>
    <t>Variance</t>
  </si>
  <si>
    <t>2018/2019 Actual</t>
  </si>
  <si>
    <t>2018/2019 Budget</t>
  </si>
  <si>
    <t>2017/2018 Actual</t>
  </si>
  <si>
    <t>INCOME</t>
  </si>
  <si>
    <t>Timothy Morris, EPRU Treasurer</t>
  </si>
  <si>
    <t>Approved On:</t>
  </si>
  <si>
    <t>Prepared On:</t>
  </si>
  <si>
    <t>Prepard by:</t>
  </si>
  <si>
    <t>September 1, 2018 to August 31, 2019</t>
  </si>
  <si>
    <t>FY 2019 Financial Statement</t>
  </si>
  <si>
    <t xml:space="preserve">Eastern Pennsylvania Rugby Union </t>
  </si>
  <si>
    <t xml:space="preserve">Budgeting a loss of $13,260. We have this in reserves to cover. </t>
  </si>
  <si>
    <t xml:space="preserve">$3750 inital setup fee, $125/month recurring fee. </t>
  </si>
  <si>
    <t>Entry fee and hotels for 2-3 people going to summit</t>
  </si>
  <si>
    <t>USA Rugby Women's Leadership Summit</t>
  </si>
  <si>
    <t>Entry fee and hotels for 10 people going to NDS</t>
  </si>
  <si>
    <t xml:space="preserve">2 meetings a year @ $1000 each to include hotel, airfare, rental car, and meals. </t>
  </si>
  <si>
    <t>Yearly subscription</t>
  </si>
  <si>
    <t xml:space="preserve">Stamps </t>
  </si>
  <si>
    <t xml:space="preserve">Permits for teams playing in philadelphia. This money is reimbursed to us. </t>
  </si>
  <si>
    <t>Envelopes, paper, notepads, etc....</t>
  </si>
  <si>
    <t>7's Tournament in Florida</t>
  </si>
  <si>
    <t>Trophies for Playoffs</t>
  </si>
  <si>
    <t>Referee fees for NSCRO Playoffs</t>
  </si>
  <si>
    <t>NSCRO team fees will be paid via USA Rugby to NSCRO when members pay their dues</t>
  </si>
  <si>
    <t>EPRU's Turn to Pay, Extra money in the budget to cover ambulance coverage</t>
  </si>
  <si>
    <t>NCR4 15's Events (MAC Championships)</t>
  </si>
  <si>
    <t>Womens D1 &amp; D2 Elite 8 &amp; Final 4 Travel Reimbursement (!Only Spent if they Make it)</t>
  </si>
  <si>
    <t>Men's D1, D2, and D3 Elite 8 &amp; Final 4 Travel Reimbursement (!Only Spent if they Make it)</t>
  </si>
  <si>
    <t>EPRU Polo's for attendees of Women's Leadership Summit &amp; National Development Summit</t>
  </si>
  <si>
    <t>Women's Select Side, Referee Clinics, and Coaching Clinics</t>
  </si>
  <si>
    <t>Combination of EPRU Championship &amp; Bateman Cup. This also includes trophies</t>
  </si>
  <si>
    <t>3 Meetings @ $600 each</t>
  </si>
  <si>
    <t>Annual General Meeting</t>
  </si>
  <si>
    <t>2019/2020 Budget</t>
  </si>
  <si>
    <t>2018/2019 Actual/YTD</t>
  </si>
  <si>
    <t>Notes</t>
  </si>
  <si>
    <t>September 1, 2019 to August 31, 2020</t>
  </si>
  <si>
    <t>FY 2019/2020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</si>
</sst>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4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rgb="FF000000"/>
      <name val="Calibri"/>
    </font>
    <font>
      <b/>
      <u/>
      <sz val="14"/>
      <name val="Calibri"/>
    </font>
    <font>
      <b/>
      <sz val="16"/>
      <color rgb="FF000000"/>
      <name val="Calibri"/>
    </font>
    <font>
      <b/>
      <u/>
      <sz val="16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6" fillId="0" borderId="0" xfId="1"/>
    <xf numFmtId="0" fontId="7" fillId="0" borderId="0" xfId="1" applyFont="1" applyAlignment="1">
      <alignment horizontal="center" wrapText="1"/>
    </xf>
    <xf numFmtId="44" fontId="8" fillId="0" borderId="4" xfId="1" applyNumberFormat="1" applyFont="1" applyBorder="1"/>
    <xf numFmtId="44" fontId="8" fillId="2" borderId="4" xfId="1" applyNumberFormat="1" applyFont="1" applyFill="1" applyBorder="1"/>
    <xf numFmtId="44" fontId="8" fillId="3" borderId="4" xfId="1" applyNumberFormat="1" applyFont="1" applyFill="1" applyBorder="1"/>
    <xf numFmtId="0" fontId="9" fillId="0" borderId="4" xfId="1" applyFont="1" applyBorder="1" applyAlignment="1">
      <alignment horizontal="right"/>
    </xf>
    <xf numFmtId="44" fontId="6" fillId="0" borderId="4" xfId="1" applyNumberFormat="1" applyBorder="1"/>
    <xf numFmtId="44" fontId="6" fillId="3" borderId="4" xfId="1" applyNumberFormat="1" applyFill="1" applyBorder="1"/>
    <xf numFmtId="0" fontId="10" fillId="0" borderId="4" xfId="1" applyFont="1" applyBorder="1"/>
    <xf numFmtId="44" fontId="11" fillId="0" borderId="4" xfId="1" applyNumberFormat="1" applyFont="1" applyBorder="1"/>
    <xf numFmtId="44" fontId="11" fillId="3" borderId="4" xfId="1" applyNumberFormat="1" applyFont="1" applyFill="1" applyBorder="1"/>
    <xf numFmtId="0" fontId="6" fillId="0" borderId="4" xfId="1" applyBorder="1"/>
    <xf numFmtId="0" fontId="11" fillId="0" borderId="4" xfId="1" applyFont="1" applyBorder="1"/>
    <xf numFmtId="0" fontId="10" fillId="3" borderId="4" xfId="1" applyFont="1" applyFill="1" applyBorder="1"/>
    <xf numFmtId="0" fontId="6" fillId="0" borderId="0" xfId="1" applyAlignment="1">
      <alignment horizontal="center"/>
    </xf>
    <xf numFmtId="14" fontId="6" fillId="0" borderId="0" xfId="1" applyNumberFormat="1" applyAlignment="1">
      <alignment horizontal="center"/>
    </xf>
    <xf numFmtId="0" fontId="11" fillId="0" borderId="0" xfId="1" applyFont="1" applyAlignment="1">
      <alignment horizontal="center"/>
    </xf>
    <xf numFmtId="44" fontId="6" fillId="4" borderId="4" xfId="1" applyNumberFormat="1" applyFill="1" applyBorder="1"/>
    <xf numFmtId="0" fontId="10" fillId="0" borderId="4" xfId="1" applyFont="1" applyBorder="1" applyAlignment="1">
      <alignment horizontal="right"/>
    </xf>
    <xf numFmtId="44" fontId="6" fillId="5" borderId="4" xfId="1" applyNumberFormat="1" applyFill="1" applyBorder="1"/>
    <xf numFmtId="44" fontId="11" fillId="5" borderId="4" xfId="1" applyNumberFormat="1" applyFont="1" applyFill="1" applyBorder="1"/>
    <xf numFmtId="0" fontId="10" fillId="5" borderId="4" xfId="1" applyFont="1" applyFill="1" applyBorder="1"/>
    <xf numFmtId="0" fontId="13" fillId="0" borderId="0" xfId="1" applyFon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/>
    <xf numFmtId="0" fontId="12" fillId="0" borderId="0" xfId="1" applyFont="1" applyAlignment="1">
      <alignment horizontal="center"/>
    </xf>
    <xf numFmtId="0" fontId="13" fillId="0" borderId="0" xfId="1" applyFont="1"/>
  </cellXfs>
  <cellStyles count="2">
    <cellStyle name="Normal" xfId="0" builtinId="0"/>
    <cellStyle name="Normal 2" xfId="1" xr:uid="{DE729DC9-1D66-4E17-B501-F1C7B9E11415}"/>
  </cellStyles>
  <dxfs count="5">
    <dxf>
      <fill>
        <patternFill patternType="solid">
          <fgColor rgb="FFF4C7C3"/>
          <bgColor rgb="FFF4C7C3"/>
        </patternFill>
      </fill>
    </dxf>
    <dxf>
      <font>
        <color rgb="FF00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FF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306B-9D49-4F57-91FB-EBF55DAF3F6C}">
  <dimension ref="A1:B55"/>
  <sheetViews>
    <sheetView tabSelected="1" workbookViewId="0">
      <selection activeCell="H30" sqref="H30"/>
    </sheetView>
  </sheetViews>
  <sheetFormatPr defaultRowHeight="15"/>
  <cols>
    <col min="1" max="1" width="37.85546875" customWidth="1"/>
    <col min="2" max="2" width="28.42578125" customWidth="1"/>
  </cols>
  <sheetData>
    <row r="1" spans="1:2" ht="18">
      <c r="A1" s="33" t="s">
        <v>21</v>
      </c>
      <c r="B1" s="32"/>
    </row>
    <row r="2" spans="1:2" ht="18">
      <c r="A2" s="33" t="s">
        <v>72</v>
      </c>
      <c r="B2" s="32"/>
    </row>
    <row r="3" spans="1:2">
      <c r="A3" s="34" t="s">
        <v>71</v>
      </c>
      <c r="B3" s="32"/>
    </row>
    <row r="5" spans="1:2">
      <c r="A5" s="1"/>
      <c r="B5" s="2" t="s">
        <v>0</v>
      </c>
    </row>
    <row r="6" spans="1:2">
      <c r="A6" s="3" t="s">
        <v>70</v>
      </c>
      <c r="B6" s="4"/>
    </row>
    <row r="7" spans="1:2">
      <c r="A7" s="3" t="s">
        <v>69</v>
      </c>
      <c r="B7" s="5">
        <f>2500</f>
        <v>2500</v>
      </c>
    </row>
    <row r="8" spans="1:2">
      <c r="A8" s="3" t="s">
        <v>68</v>
      </c>
      <c r="B8" s="5">
        <f>3350</f>
        <v>3350</v>
      </c>
    </row>
    <row r="9" spans="1:2">
      <c r="A9" s="3" t="s">
        <v>67</v>
      </c>
      <c r="B9" s="5">
        <f>500</f>
        <v>500</v>
      </c>
    </row>
    <row r="10" spans="1:2">
      <c r="A10" s="3" t="s">
        <v>66</v>
      </c>
      <c r="B10" s="5">
        <f>850</f>
        <v>850</v>
      </c>
    </row>
    <row r="11" spans="1:2">
      <c r="A11" s="3" t="s">
        <v>65</v>
      </c>
      <c r="B11" s="5">
        <f>500</f>
        <v>500</v>
      </c>
    </row>
    <row r="12" spans="1:2">
      <c r="A12" s="3" t="s">
        <v>64</v>
      </c>
      <c r="B12" s="5">
        <f>100</f>
        <v>100</v>
      </c>
    </row>
    <row r="13" spans="1:2">
      <c r="A13" s="3" t="s">
        <v>63</v>
      </c>
      <c r="B13" s="5">
        <f>0.12</f>
        <v>0.12</v>
      </c>
    </row>
    <row r="14" spans="1:2">
      <c r="A14" s="3" t="s">
        <v>62</v>
      </c>
      <c r="B14" s="5">
        <f>45396.25</f>
        <v>45396.25</v>
      </c>
    </row>
    <row r="15" spans="1:2">
      <c r="A15" s="3" t="s">
        <v>61</v>
      </c>
      <c r="B15" s="7">
        <f>(((((((B7)+(B8))+(B9))+(B10))+(B11))+(B12))+(B13))+(B14)</f>
        <v>53196.37</v>
      </c>
    </row>
    <row r="16" spans="1:2">
      <c r="A16" s="3" t="s">
        <v>60</v>
      </c>
      <c r="B16" s="7">
        <f>(B15)-(0)</f>
        <v>53196.37</v>
      </c>
    </row>
    <row r="17" spans="1:2">
      <c r="A17" s="3" t="s">
        <v>59</v>
      </c>
      <c r="B17" s="4"/>
    </row>
    <row r="18" spans="1:2">
      <c r="A18" s="3" t="s">
        <v>58</v>
      </c>
      <c r="B18" s="5">
        <f>3073.95</f>
        <v>3073.95</v>
      </c>
    </row>
    <row r="19" spans="1:2">
      <c r="A19" s="3" t="s">
        <v>57</v>
      </c>
      <c r="B19" s="5">
        <f>11</f>
        <v>11</v>
      </c>
    </row>
    <row r="20" spans="1:2">
      <c r="A20" s="3" t="s">
        <v>56</v>
      </c>
      <c r="B20" s="5">
        <f>2327</f>
        <v>2327</v>
      </c>
    </row>
    <row r="21" spans="1:2">
      <c r="A21" s="3" t="s">
        <v>55</v>
      </c>
      <c r="B21" s="5">
        <f>35.57</f>
        <v>35.57</v>
      </c>
    </row>
    <row r="22" spans="1:2">
      <c r="A22" s="3" t="s">
        <v>54</v>
      </c>
      <c r="B22" s="5">
        <f>2040.95</f>
        <v>2040.95</v>
      </c>
    </row>
    <row r="23" spans="1:2">
      <c r="A23" s="3" t="s">
        <v>53</v>
      </c>
      <c r="B23" s="5">
        <f>700</f>
        <v>700</v>
      </c>
    </row>
    <row r="24" spans="1:2">
      <c r="A24" s="3" t="s">
        <v>52</v>
      </c>
      <c r="B24" s="5">
        <f>2432.1</f>
        <v>2432.1</v>
      </c>
    </row>
    <row r="25" spans="1:2">
      <c r="A25" s="3" t="s">
        <v>51</v>
      </c>
      <c r="B25" s="5">
        <f>2200</f>
        <v>2200</v>
      </c>
    </row>
    <row r="26" spans="1:2">
      <c r="A26" s="3" t="s">
        <v>50</v>
      </c>
      <c r="B26" s="5">
        <f>585</f>
        <v>585</v>
      </c>
    </row>
    <row r="27" spans="1:2" ht="23.25">
      <c r="A27" s="3" t="s">
        <v>49</v>
      </c>
      <c r="B27" s="5">
        <f>303.42</f>
        <v>303.42</v>
      </c>
    </row>
    <row r="28" spans="1:2">
      <c r="A28" s="3" t="s">
        <v>48</v>
      </c>
      <c r="B28" s="5">
        <f>4150</f>
        <v>4150</v>
      </c>
    </row>
    <row r="29" spans="1:2">
      <c r="A29" s="3" t="s">
        <v>47</v>
      </c>
      <c r="B29" s="5">
        <f>3000</f>
        <v>3000</v>
      </c>
    </row>
    <row r="30" spans="1:2">
      <c r="A30" s="3" t="s">
        <v>46</v>
      </c>
      <c r="B30" s="5">
        <f>8923.06</f>
        <v>8923.06</v>
      </c>
    </row>
    <row r="31" spans="1:2">
      <c r="A31" s="3" t="s">
        <v>45</v>
      </c>
      <c r="B31" s="5">
        <f>1950</f>
        <v>1950</v>
      </c>
    </row>
    <row r="32" spans="1:2">
      <c r="A32" s="3" t="s">
        <v>44</v>
      </c>
      <c r="B32" s="5">
        <f>950</f>
        <v>950</v>
      </c>
    </row>
    <row r="33" spans="1:2">
      <c r="A33" s="3" t="s">
        <v>43</v>
      </c>
      <c r="B33" s="5">
        <f>137.8</f>
        <v>137.80000000000001</v>
      </c>
    </row>
    <row r="34" spans="1:2">
      <c r="A34" s="3" t="s">
        <v>42</v>
      </c>
      <c r="B34" s="5">
        <f>22.24</f>
        <v>22.24</v>
      </c>
    </row>
    <row r="35" spans="1:2">
      <c r="A35" s="3" t="s">
        <v>41</v>
      </c>
      <c r="B35" s="5">
        <f>1650</f>
        <v>1650</v>
      </c>
    </row>
    <row r="36" spans="1:2">
      <c r="A36" s="3" t="s">
        <v>40</v>
      </c>
      <c r="B36" s="5">
        <f>22</f>
        <v>22</v>
      </c>
    </row>
    <row r="37" spans="1:2">
      <c r="A37" s="3" t="s">
        <v>39</v>
      </c>
      <c r="B37" s="5">
        <f>201.4</f>
        <v>201.4</v>
      </c>
    </row>
    <row r="38" spans="1:2">
      <c r="A38" s="3" t="s">
        <v>38</v>
      </c>
      <c r="B38" s="5">
        <f>-4850</f>
        <v>-4850</v>
      </c>
    </row>
    <row r="39" spans="1:2">
      <c r="A39" s="3" t="s">
        <v>37</v>
      </c>
      <c r="B39" s="5">
        <f>458.06</f>
        <v>458.06</v>
      </c>
    </row>
    <row r="40" spans="1:2">
      <c r="A40" s="3" t="s">
        <v>36</v>
      </c>
      <c r="B40" s="5">
        <f>1150.65</f>
        <v>1150.6500000000001</v>
      </c>
    </row>
    <row r="41" spans="1:2">
      <c r="A41" s="3" t="s">
        <v>35</v>
      </c>
      <c r="B41" s="5">
        <f>0.12</f>
        <v>0.12</v>
      </c>
    </row>
    <row r="42" spans="1:2">
      <c r="A42" s="3" t="s">
        <v>34</v>
      </c>
      <c r="B42" s="5">
        <f>1520.96</f>
        <v>1520.96</v>
      </c>
    </row>
    <row r="43" spans="1:2">
      <c r="A43" s="3" t="s">
        <v>33</v>
      </c>
      <c r="B43" s="5">
        <f>3345.21</f>
        <v>3345.21</v>
      </c>
    </row>
    <row r="44" spans="1:2">
      <c r="A44" s="3" t="s">
        <v>32</v>
      </c>
      <c r="B44" s="5">
        <f>5153.15</f>
        <v>5153.1499999999996</v>
      </c>
    </row>
    <row r="45" spans="1:2">
      <c r="A45" s="3" t="s">
        <v>31</v>
      </c>
      <c r="B45" s="7">
        <f>((((((((((((((((((((((((((B18)+(B19))+(B20))+(B21))+(B22))+(B23))+(B24))+(B25))+(B26))+(B27))+(B28))+(B29))+(B30))+(B31))+(B32))+(B33))+(B34))+(B35))+(B36))+(B37))+(B38))+(B39))+(B40))+(B41))+(B42))+(B43))+(B44)</f>
        <v>41493.64</v>
      </c>
    </row>
    <row r="46" spans="1:2">
      <c r="A46" s="3" t="s">
        <v>30</v>
      </c>
      <c r="B46" s="7">
        <f>(B16)-(B45)</f>
        <v>11702.730000000003</v>
      </c>
    </row>
    <row r="47" spans="1:2">
      <c r="A47" s="3" t="s">
        <v>29</v>
      </c>
      <c r="B47" s="4"/>
    </row>
    <row r="48" spans="1:2">
      <c r="A48" s="3" t="s">
        <v>28</v>
      </c>
      <c r="B48" s="5">
        <f>13.55</f>
        <v>13.55</v>
      </c>
    </row>
    <row r="49" spans="1:2">
      <c r="A49" s="3" t="s">
        <v>27</v>
      </c>
      <c r="B49" s="7">
        <f>B48</f>
        <v>13.55</v>
      </c>
    </row>
    <row r="50" spans="1:2">
      <c r="A50" s="3" t="s">
        <v>26</v>
      </c>
      <c r="B50" s="7">
        <f>(B49)-(0)</f>
        <v>13.55</v>
      </c>
    </row>
    <row r="51" spans="1:2">
      <c r="A51" s="3" t="s">
        <v>25</v>
      </c>
      <c r="B51" s="7">
        <f>(B46)+(B50)</f>
        <v>11716.280000000002</v>
      </c>
    </row>
    <row r="52" spans="1:2">
      <c r="A52" s="3"/>
      <c r="B52" s="4"/>
    </row>
    <row r="55" spans="1:2">
      <c r="A55" s="31" t="s">
        <v>24</v>
      </c>
      <c r="B55" s="32"/>
    </row>
  </sheetData>
  <mergeCells count="4">
    <mergeCell ref="A55:B55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A82E-8501-4FCD-996D-3053D592F907}">
  <sheetPr>
    <pageSetUpPr fitToPage="1"/>
  </sheetPr>
  <dimension ref="A1:E1004"/>
  <sheetViews>
    <sheetView topLeftCell="A7" workbookViewId="0">
      <selection sqref="A1:E1"/>
    </sheetView>
  </sheetViews>
  <sheetFormatPr defaultColWidth="14.42578125" defaultRowHeight="15" customHeight="1"/>
  <cols>
    <col min="1" max="1" width="39.28515625" style="8" customWidth="1"/>
    <col min="2" max="2" width="16" style="8" customWidth="1"/>
    <col min="3" max="3" width="17.5703125" style="8" customWidth="1"/>
    <col min="4" max="4" width="20.42578125" style="8" customWidth="1"/>
    <col min="5" max="5" width="17.85546875" style="8" customWidth="1"/>
    <col min="6" max="26" width="8.7109375" style="8" customWidth="1"/>
    <col min="27" max="16384" width="14.42578125" style="8"/>
  </cols>
  <sheetData>
    <row r="1" spans="1:5" ht="21">
      <c r="A1" s="35" t="s">
        <v>133</v>
      </c>
      <c r="B1" s="36"/>
      <c r="C1" s="36"/>
      <c r="D1" s="36"/>
      <c r="E1" s="36"/>
    </row>
    <row r="2" spans="1:5" ht="21">
      <c r="A2" s="37" t="s">
        <v>132</v>
      </c>
      <c r="B2" s="36"/>
      <c r="C2" s="36"/>
      <c r="D2" s="36"/>
      <c r="E2" s="36"/>
    </row>
    <row r="3" spans="1:5" ht="21">
      <c r="A3" s="37" t="s">
        <v>131</v>
      </c>
      <c r="B3" s="36"/>
      <c r="C3" s="36"/>
      <c r="D3" s="36"/>
      <c r="E3" s="36"/>
    </row>
    <row r="4" spans="1:5">
      <c r="A4" s="24" t="s">
        <v>130</v>
      </c>
      <c r="B4" s="24" t="s">
        <v>129</v>
      </c>
      <c r="C4" s="24" t="s">
        <v>128</v>
      </c>
      <c r="D4" s="22"/>
      <c r="E4" s="22"/>
    </row>
    <row r="5" spans="1:5">
      <c r="A5" s="22" t="s">
        <v>127</v>
      </c>
      <c r="B5" s="23">
        <v>43714</v>
      </c>
      <c r="C5" s="22"/>
      <c r="D5" s="22"/>
      <c r="E5" s="22"/>
    </row>
    <row r="7" spans="1:5">
      <c r="A7" s="16" t="s">
        <v>126</v>
      </c>
      <c r="B7" s="16" t="s">
        <v>125</v>
      </c>
      <c r="C7" s="21" t="s">
        <v>124</v>
      </c>
      <c r="D7" s="16" t="s">
        <v>123</v>
      </c>
      <c r="E7" s="16" t="s">
        <v>122</v>
      </c>
    </row>
    <row r="8" spans="1:5">
      <c r="A8" s="19"/>
      <c r="B8" s="14"/>
      <c r="C8" s="15"/>
      <c r="D8" s="14"/>
      <c r="E8" s="14"/>
    </row>
    <row r="9" spans="1:5">
      <c r="A9" s="19" t="s">
        <v>121</v>
      </c>
      <c r="B9" s="14">
        <v>43620</v>
      </c>
      <c r="C9" s="15">
        <v>40000</v>
      </c>
      <c r="D9" s="14">
        <v>45396.25</v>
      </c>
      <c r="E9" s="14">
        <f t="shared" ref="E9:E18" si="0">D9-C9</f>
        <v>5396.25</v>
      </c>
    </row>
    <row r="10" spans="1:5">
      <c r="A10" s="19" t="s">
        <v>120</v>
      </c>
      <c r="B10" s="14"/>
      <c r="C10" s="15">
        <v>500</v>
      </c>
      <c r="D10" s="14">
        <v>500</v>
      </c>
      <c r="E10" s="14">
        <f t="shared" si="0"/>
        <v>0</v>
      </c>
    </row>
    <row r="11" spans="1:5">
      <c r="A11" s="19" t="s">
        <v>119</v>
      </c>
      <c r="B11" s="14"/>
      <c r="C11" s="15">
        <v>2500</v>
      </c>
      <c r="D11" s="14">
        <v>2500</v>
      </c>
      <c r="E11" s="14">
        <f t="shared" si="0"/>
        <v>0</v>
      </c>
    </row>
    <row r="12" spans="1:5">
      <c r="A12" s="19" t="s">
        <v>118</v>
      </c>
      <c r="B12" s="14"/>
      <c r="C12" s="15">
        <v>100</v>
      </c>
      <c r="D12" s="14">
        <v>100</v>
      </c>
      <c r="E12" s="14">
        <f t="shared" si="0"/>
        <v>0</v>
      </c>
    </row>
    <row r="13" spans="1:5">
      <c r="A13" s="19" t="s">
        <v>117</v>
      </c>
      <c r="B13" s="14"/>
      <c r="C13" s="15"/>
      <c r="D13" s="14"/>
      <c r="E13" s="14">
        <f t="shared" si="0"/>
        <v>0</v>
      </c>
    </row>
    <row r="14" spans="1:5">
      <c r="A14" s="19" t="s">
        <v>116</v>
      </c>
      <c r="B14" s="14"/>
      <c r="C14" s="15">
        <v>4000</v>
      </c>
      <c r="D14" s="14">
        <v>3350</v>
      </c>
      <c r="E14" s="14">
        <f t="shared" si="0"/>
        <v>-650</v>
      </c>
    </row>
    <row r="15" spans="1:5">
      <c r="A15" s="19" t="s">
        <v>115</v>
      </c>
      <c r="B15" s="14"/>
      <c r="C15" s="15">
        <v>1300</v>
      </c>
      <c r="D15" s="14">
        <v>1350</v>
      </c>
      <c r="E15" s="14">
        <f t="shared" si="0"/>
        <v>50</v>
      </c>
    </row>
    <row r="16" spans="1:5">
      <c r="A16" s="19" t="s">
        <v>114</v>
      </c>
      <c r="B16" s="14"/>
      <c r="C16" s="15"/>
      <c r="D16" s="14"/>
      <c r="E16" s="14">
        <f t="shared" si="0"/>
        <v>0</v>
      </c>
    </row>
    <row r="17" spans="1:5">
      <c r="A17" s="19" t="s">
        <v>113</v>
      </c>
      <c r="B17" s="14">
        <v>13.57</v>
      </c>
      <c r="C17" s="15">
        <v>900</v>
      </c>
      <c r="D17" s="14">
        <v>13.55</v>
      </c>
      <c r="E17" s="14">
        <f t="shared" si="0"/>
        <v>-886.45</v>
      </c>
    </row>
    <row r="18" spans="1:5">
      <c r="A18" s="19" t="s">
        <v>112</v>
      </c>
      <c r="B18" s="14"/>
      <c r="C18" s="15"/>
      <c r="D18" s="14">
        <v>0.12</v>
      </c>
      <c r="E18" s="14">
        <f t="shared" si="0"/>
        <v>0.12</v>
      </c>
    </row>
    <row r="19" spans="1:5" ht="21">
      <c r="A19" s="20" t="s">
        <v>111</v>
      </c>
      <c r="B19" s="17">
        <f>SUM(B9:B18)</f>
        <v>43633.57</v>
      </c>
      <c r="C19" s="18">
        <f>SUM(C9:C18)</f>
        <v>49300</v>
      </c>
      <c r="D19" s="17">
        <f>SUM(D9:D18)</f>
        <v>53209.920000000006</v>
      </c>
      <c r="E19" s="10">
        <f>SUM(E9:E18)</f>
        <v>3909.92</v>
      </c>
    </row>
    <row r="20" spans="1:5">
      <c r="A20" s="19"/>
      <c r="B20" s="14"/>
      <c r="C20" s="15"/>
      <c r="D20" s="14"/>
      <c r="E20" s="14"/>
    </row>
    <row r="21" spans="1:5" ht="15.75" customHeight="1">
      <c r="A21" s="16" t="s">
        <v>110</v>
      </c>
      <c r="B21" s="14"/>
      <c r="C21" s="15"/>
      <c r="D21" s="14"/>
      <c r="E21" s="14"/>
    </row>
    <row r="22" spans="1:5" ht="15.75" customHeight="1">
      <c r="A22" s="19"/>
      <c r="B22" s="14"/>
      <c r="C22" s="15"/>
      <c r="D22" s="14"/>
      <c r="E22" s="14"/>
    </row>
    <row r="23" spans="1:5" ht="15.75" customHeight="1">
      <c r="A23" s="19" t="s">
        <v>109</v>
      </c>
      <c r="B23" s="14"/>
      <c r="C23" s="15"/>
      <c r="D23" s="14">
        <v>3073.95</v>
      </c>
      <c r="E23" s="14">
        <f t="shared" ref="E23:E57" si="1">D23-C23</f>
        <v>3073.95</v>
      </c>
    </row>
    <row r="24" spans="1:5" ht="15.75" customHeight="1">
      <c r="A24" s="19" t="s">
        <v>108</v>
      </c>
      <c r="B24" s="14">
        <v>24</v>
      </c>
      <c r="C24" s="15">
        <v>36</v>
      </c>
      <c r="D24" s="14">
        <v>11</v>
      </c>
      <c r="E24" s="14">
        <f t="shared" si="1"/>
        <v>-25</v>
      </c>
    </row>
    <row r="25" spans="1:5" ht="15.75" customHeight="1">
      <c r="A25" s="19" t="s">
        <v>107</v>
      </c>
      <c r="B25" s="14">
        <v>1485.67</v>
      </c>
      <c r="C25" s="15">
        <v>1500</v>
      </c>
      <c r="D25" s="14">
        <v>2327</v>
      </c>
      <c r="E25" s="14">
        <f t="shared" si="1"/>
        <v>827</v>
      </c>
    </row>
    <row r="26" spans="1:5" ht="15.75" customHeight="1">
      <c r="A26" s="19" t="s">
        <v>106</v>
      </c>
      <c r="B26" s="14">
        <v>1566.59</v>
      </c>
      <c r="C26" s="15"/>
      <c r="D26" s="14"/>
      <c r="E26" s="14">
        <f t="shared" si="1"/>
        <v>0</v>
      </c>
    </row>
    <row r="27" spans="1:5" ht="15.75" customHeight="1">
      <c r="A27" s="19" t="s">
        <v>105</v>
      </c>
      <c r="B27" s="14"/>
      <c r="C27" s="15">
        <v>50</v>
      </c>
      <c r="D27" s="14">
        <v>35.57</v>
      </c>
      <c r="E27" s="14">
        <f t="shared" si="1"/>
        <v>-14.43</v>
      </c>
    </row>
    <row r="28" spans="1:5" ht="15.75" customHeight="1">
      <c r="A28" s="19" t="s">
        <v>104</v>
      </c>
      <c r="B28" s="14"/>
      <c r="C28" s="15"/>
      <c r="D28" s="14">
        <v>2040.95</v>
      </c>
      <c r="E28" s="14">
        <f t="shared" si="1"/>
        <v>2040.95</v>
      </c>
    </row>
    <row r="29" spans="1:5" ht="15.75" customHeight="1">
      <c r="A29" s="19" t="s">
        <v>103</v>
      </c>
      <c r="B29" s="14"/>
      <c r="C29" s="15">
        <v>0</v>
      </c>
      <c r="D29" s="14">
        <v>700</v>
      </c>
      <c r="E29" s="14">
        <f t="shared" si="1"/>
        <v>700</v>
      </c>
    </row>
    <row r="30" spans="1:5" ht="15.75" customHeight="1">
      <c r="A30" s="19" t="s">
        <v>102</v>
      </c>
      <c r="B30" s="14"/>
      <c r="C30" s="15">
        <v>2200</v>
      </c>
      <c r="D30" s="14">
        <v>2200</v>
      </c>
      <c r="E30" s="14">
        <f t="shared" si="1"/>
        <v>0</v>
      </c>
    </row>
    <row r="31" spans="1:5" ht="15.75" customHeight="1">
      <c r="A31" s="19" t="s">
        <v>101</v>
      </c>
      <c r="B31" s="14"/>
      <c r="C31" s="15"/>
      <c r="D31" s="14">
        <v>2432.1</v>
      </c>
      <c r="E31" s="14">
        <f t="shared" si="1"/>
        <v>2432.1</v>
      </c>
    </row>
    <row r="32" spans="1:5" ht="15.75" customHeight="1">
      <c r="A32" s="19" t="s">
        <v>100</v>
      </c>
      <c r="B32" s="14"/>
      <c r="C32" s="15">
        <v>2000</v>
      </c>
      <c r="D32" s="14"/>
      <c r="E32" s="14">
        <f t="shared" si="1"/>
        <v>-2000</v>
      </c>
    </row>
    <row r="33" spans="1:5" ht="15.75" customHeight="1">
      <c r="A33" s="19" t="s">
        <v>99</v>
      </c>
      <c r="B33" s="14"/>
      <c r="C33" s="15">
        <v>400</v>
      </c>
      <c r="D33" s="14"/>
      <c r="E33" s="14">
        <f t="shared" si="1"/>
        <v>-400</v>
      </c>
    </row>
    <row r="34" spans="1:5" ht="15.75" customHeight="1">
      <c r="A34" s="19" t="s">
        <v>98</v>
      </c>
      <c r="B34" s="14">
        <v>2256.0100000000002</v>
      </c>
      <c r="C34" s="15"/>
      <c r="D34" s="14">
        <v>585</v>
      </c>
      <c r="E34" s="14">
        <f t="shared" si="1"/>
        <v>585</v>
      </c>
    </row>
    <row r="35" spans="1:5" ht="15.75" customHeight="1">
      <c r="A35" s="19" t="s">
        <v>97</v>
      </c>
      <c r="B35" s="14"/>
      <c r="C35" s="15">
        <v>3839</v>
      </c>
      <c r="D35" s="14">
        <v>303.42</v>
      </c>
      <c r="E35" s="14">
        <f t="shared" si="1"/>
        <v>-3535.58</v>
      </c>
    </row>
    <row r="36" spans="1:5" ht="15.75" customHeight="1">
      <c r="A36" s="19" t="s">
        <v>96</v>
      </c>
      <c r="B36" s="14"/>
      <c r="C36" s="15">
        <v>100</v>
      </c>
      <c r="D36" s="14"/>
      <c r="E36" s="14">
        <f t="shared" si="1"/>
        <v>-100</v>
      </c>
    </row>
    <row r="37" spans="1:5" ht="15.75" customHeight="1">
      <c r="A37" s="19" t="s">
        <v>95</v>
      </c>
      <c r="B37" s="14">
        <v>7500</v>
      </c>
      <c r="C37" s="15">
        <v>6000</v>
      </c>
      <c r="D37" s="14">
        <v>4150</v>
      </c>
      <c r="E37" s="14">
        <f t="shared" si="1"/>
        <v>-1850</v>
      </c>
    </row>
    <row r="38" spans="1:5" ht="15.75" customHeight="1">
      <c r="A38" s="19" t="s">
        <v>94</v>
      </c>
      <c r="B38" s="14">
        <v>1500</v>
      </c>
      <c r="C38" s="15">
        <v>3000</v>
      </c>
      <c r="D38" s="14">
        <v>3000</v>
      </c>
      <c r="E38" s="14">
        <f t="shared" si="1"/>
        <v>0</v>
      </c>
    </row>
    <row r="39" spans="1:5" ht="15.75" customHeight="1">
      <c r="A39" s="19" t="s">
        <v>93</v>
      </c>
      <c r="B39" s="14"/>
      <c r="C39" s="15"/>
      <c r="D39" s="14"/>
      <c r="E39" s="14">
        <f t="shared" si="1"/>
        <v>0</v>
      </c>
    </row>
    <row r="40" spans="1:5" ht="15.75" customHeight="1">
      <c r="A40" s="19" t="s">
        <v>92</v>
      </c>
      <c r="B40" s="14">
        <v>5906.73</v>
      </c>
      <c r="C40" s="15"/>
      <c r="D40" s="14"/>
      <c r="E40" s="14">
        <f t="shared" si="1"/>
        <v>0</v>
      </c>
    </row>
    <row r="41" spans="1:5" ht="15.75" customHeight="1">
      <c r="A41" s="19" t="s">
        <v>91</v>
      </c>
      <c r="B41" s="14">
        <v>2250</v>
      </c>
      <c r="C41" s="15">
        <v>2250</v>
      </c>
      <c r="D41" s="14">
        <v>1950</v>
      </c>
      <c r="E41" s="14">
        <f t="shared" si="1"/>
        <v>-300</v>
      </c>
    </row>
    <row r="42" spans="1:5" ht="15.75" customHeight="1">
      <c r="A42" s="19" t="s">
        <v>90</v>
      </c>
      <c r="B42" s="14">
        <v>2550</v>
      </c>
      <c r="C42" s="15">
        <v>1000</v>
      </c>
      <c r="D42" s="14">
        <v>950</v>
      </c>
      <c r="E42" s="14">
        <f t="shared" si="1"/>
        <v>-50</v>
      </c>
    </row>
    <row r="43" spans="1:5" ht="15.75" customHeight="1">
      <c r="A43" s="19" t="s">
        <v>89</v>
      </c>
      <c r="B43" s="14">
        <v>814.82</v>
      </c>
      <c r="C43" s="15">
        <v>1000</v>
      </c>
      <c r="D43" s="14">
        <v>137.80000000000001</v>
      </c>
      <c r="E43" s="14">
        <f t="shared" si="1"/>
        <v>-862.2</v>
      </c>
    </row>
    <row r="44" spans="1:5" ht="15.75" customHeight="1">
      <c r="A44" s="19" t="s">
        <v>88</v>
      </c>
      <c r="B44" s="14"/>
      <c r="C44" s="15">
        <v>9000</v>
      </c>
      <c r="D44" s="14">
        <v>8923.06</v>
      </c>
      <c r="E44" s="14">
        <f t="shared" si="1"/>
        <v>-76.940000000000509</v>
      </c>
    </row>
    <row r="45" spans="1:5" ht="15.75" customHeight="1">
      <c r="A45" s="19" t="s">
        <v>87</v>
      </c>
      <c r="B45" s="14"/>
      <c r="C45" s="15">
        <v>200</v>
      </c>
      <c r="D45" s="14">
        <v>22.24</v>
      </c>
      <c r="E45" s="14">
        <f t="shared" si="1"/>
        <v>-177.76</v>
      </c>
    </row>
    <row r="46" spans="1:5" ht="15.75" customHeight="1">
      <c r="A46" s="19" t="s">
        <v>86</v>
      </c>
      <c r="B46" s="14">
        <v>4375</v>
      </c>
      <c r="C46" s="15">
        <v>4000</v>
      </c>
      <c r="D46" s="14">
        <v>1650</v>
      </c>
      <c r="E46" s="14">
        <f t="shared" si="1"/>
        <v>-2350</v>
      </c>
    </row>
    <row r="47" spans="1:5" ht="15.75" customHeight="1">
      <c r="A47" s="19" t="s">
        <v>85</v>
      </c>
      <c r="B47" s="14"/>
      <c r="C47" s="15">
        <v>25</v>
      </c>
      <c r="D47" s="14">
        <v>22</v>
      </c>
      <c r="E47" s="14">
        <f t="shared" si="1"/>
        <v>-3</v>
      </c>
    </row>
    <row r="48" spans="1:5" ht="15.75" customHeight="1">
      <c r="A48" s="19" t="s">
        <v>84</v>
      </c>
      <c r="B48" s="14"/>
      <c r="C48" s="15">
        <v>200</v>
      </c>
      <c r="D48" s="14">
        <v>201.4</v>
      </c>
      <c r="E48" s="14">
        <f t="shared" si="1"/>
        <v>1.4000000000000057</v>
      </c>
    </row>
    <row r="49" spans="1:5" ht="15.75" customHeight="1">
      <c r="A49" s="19" t="s">
        <v>83</v>
      </c>
      <c r="B49" s="14"/>
      <c r="C49" s="15">
        <v>1000</v>
      </c>
      <c r="D49" s="14"/>
      <c r="E49" s="14">
        <f t="shared" si="1"/>
        <v>-1000</v>
      </c>
    </row>
    <row r="50" spans="1:5" ht="15.75" customHeight="1">
      <c r="A50" s="19" t="s">
        <v>82</v>
      </c>
      <c r="B50" s="14"/>
      <c r="C50" s="15"/>
      <c r="D50" s="14">
        <v>-4850</v>
      </c>
      <c r="E50" s="14">
        <f t="shared" si="1"/>
        <v>-4850</v>
      </c>
    </row>
    <row r="51" spans="1:5" ht="15.75" customHeight="1">
      <c r="A51" s="19" t="s">
        <v>81</v>
      </c>
      <c r="B51" s="14">
        <v>709.82</v>
      </c>
      <c r="C51" s="15">
        <v>600</v>
      </c>
      <c r="D51" s="14">
        <v>458.06</v>
      </c>
      <c r="E51" s="14">
        <f t="shared" si="1"/>
        <v>-141.94</v>
      </c>
    </row>
    <row r="52" spans="1:5" ht="15.75" customHeight="1">
      <c r="A52" s="19" t="s">
        <v>80</v>
      </c>
      <c r="B52" s="14">
        <v>725</v>
      </c>
      <c r="C52" s="15"/>
      <c r="D52" s="14"/>
      <c r="E52" s="14">
        <f t="shared" si="1"/>
        <v>0</v>
      </c>
    </row>
    <row r="53" spans="1:5" ht="15.75" customHeight="1">
      <c r="A53" s="19" t="s">
        <v>79</v>
      </c>
      <c r="B53" s="14"/>
      <c r="C53" s="15">
        <v>1200</v>
      </c>
      <c r="D53" s="14">
        <v>1150.6500000000001</v>
      </c>
      <c r="E53" s="14">
        <f t="shared" si="1"/>
        <v>-49.349999999999909</v>
      </c>
    </row>
    <row r="54" spans="1:5" ht="15.75" customHeight="1">
      <c r="A54" s="19" t="s">
        <v>78</v>
      </c>
      <c r="B54" s="14">
        <v>1698.85</v>
      </c>
      <c r="C54" s="15">
        <v>2000</v>
      </c>
      <c r="D54" s="14">
        <v>1520.96</v>
      </c>
      <c r="E54" s="14">
        <f t="shared" si="1"/>
        <v>-479.03999999999996</v>
      </c>
    </row>
    <row r="55" spans="1:5" ht="15.75" customHeight="1">
      <c r="A55" s="19" t="s">
        <v>77</v>
      </c>
      <c r="B55" s="14">
        <v>250</v>
      </c>
      <c r="C55" s="15">
        <v>2700</v>
      </c>
      <c r="D55" s="14">
        <v>3345.21</v>
      </c>
      <c r="E55" s="14">
        <f t="shared" si="1"/>
        <v>645.21</v>
      </c>
    </row>
    <row r="56" spans="1:5" ht="15.75" customHeight="1">
      <c r="A56" s="19" t="s">
        <v>76</v>
      </c>
      <c r="B56" s="14">
        <v>14952</v>
      </c>
      <c r="C56" s="15">
        <v>5000</v>
      </c>
      <c r="D56" s="14">
        <v>5153.1499999999996</v>
      </c>
      <c r="E56" s="14">
        <f t="shared" si="1"/>
        <v>153.14999999999964</v>
      </c>
    </row>
    <row r="57" spans="1:5" ht="15.75" customHeight="1">
      <c r="A57" s="19" t="s">
        <v>75</v>
      </c>
      <c r="B57" s="17"/>
      <c r="C57" s="18"/>
      <c r="D57" s="14">
        <v>0.12</v>
      </c>
      <c r="E57" s="14">
        <f t="shared" si="1"/>
        <v>0.12</v>
      </c>
    </row>
    <row r="58" spans="1:5" ht="15.75" customHeight="1">
      <c r="A58" s="16" t="s">
        <v>74</v>
      </c>
      <c r="B58" s="17">
        <f>SUM(B23:B56)</f>
        <v>48564.49</v>
      </c>
      <c r="C58" s="18">
        <f>SUM(C23:C56)</f>
        <v>49300</v>
      </c>
      <c r="D58" s="17">
        <f>SUM(D23:D57)</f>
        <v>41493.640000000007</v>
      </c>
      <c r="E58" s="10">
        <f>SUM(E23:E56)</f>
        <v>-7806.4800000000005</v>
      </c>
    </row>
    <row r="59" spans="1:5" ht="15.75" customHeight="1">
      <c r="A59" s="16"/>
      <c r="B59" s="14"/>
      <c r="C59" s="15"/>
      <c r="D59" s="14"/>
      <c r="E59" s="14"/>
    </row>
    <row r="60" spans="1:5" ht="15.75" customHeight="1">
      <c r="A60" s="13" t="s">
        <v>73</v>
      </c>
      <c r="B60" s="10">
        <f>B19-B58</f>
        <v>-4930.9199999999983</v>
      </c>
      <c r="C60" s="12">
        <f>C19-C58</f>
        <v>0</v>
      </c>
      <c r="D60" s="11">
        <f>D19-D58</f>
        <v>11716.279999999999</v>
      </c>
      <c r="E60" s="10">
        <f>E19-E58</f>
        <v>11716.400000000001</v>
      </c>
    </row>
    <row r="61" spans="1:5" ht="36" customHeight="1">
      <c r="B61" s="9" t="str">
        <f>B7</f>
        <v>2017/2018 Actual</v>
      </c>
      <c r="C61" s="9" t="str">
        <f>C7</f>
        <v>2018/2019 Budget</v>
      </c>
      <c r="D61" s="9" t="str">
        <f>D7</f>
        <v>2018/2019 Actual</v>
      </c>
      <c r="E61" s="9" t="str">
        <f>E7</f>
        <v>Variance</v>
      </c>
    </row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A1:E1"/>
    <mergeCell ref="A2:E2"/>
    <mergeCell ref="A3:E3"/>
  </mergeCells>
  <conditionalFormatting sqref="E24:E58">
    <cfRule type="cellIs" dxfId="4" priority="1" operator="greaterThan">
      <formula>0</formula>
    </cfRule>
  </conditionalFormatting>
  <conditionalFormatting sqref="E24:E58">
    <cfRule type="cellIs" dxfId="3" priority="2" operator="lessThanOrEqual">
      <formula>0</formula>
    </cfRule>
  </conditionalFormatting>
  <conditionalFormatting sqref="E9:E19">
    <cfRule type="cellIs" dxfId="2" priority="3" operator="lessThan">
      <formula>0</formula>
    </cfRule>
  </conditionalFormatting>
  <conditionalFormatting sqref="E9:E19">
    <cfRule type="cellIs" dxfId="1" priority="4" operator="greaterThanOrEqual">
      <formula>0</formula>
    </cfRule>
  </conditionalFormatting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sqref="A1:B1"/>
    </sheetView>
  </sheetViews>
  <sheetFormatPr defaultRowHeight="15"/>
  <cols>
    <col min="1" max="1" width="30.140625" customWidth="1"/>
    <col min="2" max="2" width="28.42578125" customWidth="1"/>
  </cols>
  <sheetData>
    <row r="1" spans="1:2" ht="18">
      <c r="A1" s="33" t="s">
        <v>21</v>
      </c>
      <c r="B1" s="32"/>
    </row>
    <row r="2" spans="1:2" ht="18">
      <c r="A2" s="33" t="s">
        <v>22</v>
      </c>
      <c r="B2" s="32"/>
    </row>
    <row r="3" spans="1:2">
      <c r="A3" s="34" t="s">
        <v>23</v>
      </c>
      <c r="B3" s="32"/>
    </row>
    <row r="5" spans="1:2">
      <c r="A5" s="1"/>
      <c r="B5" s="2" t="s">
        <v>0</v>
      </c>
    </row>
    <row r="6" spans="1:2">
      <c r="A6" s="3" t="s">
        <v>1</v>
      </c>
      <c r="B6" s="4"/>
    </row>
    <row r="7" spans="1:2">
      <c r="A7" s="3" t="s">
        <v>2</v>
      </c>
      <c r="B7" s="4"/>
    </row>
    <row r="8" spans="1:2">
      <c r="A8" s="3" t="s">
        <v>3</v>
      </c>
      <c r="B8" s="4"/>
    </row>
    <row r="9" spans="1:2">
      <c r="A9" s="3" t="s">
        <v>4</v>
      </c>
      <c r="B9" s="5">
        <f>65479.56</f>
        <v>65479.56</v>
      </c>
    </row>
    <row r="10" spans="1:2">
      <c r="A10" s="3" t="s">
        <v>5</v>
      </c>
      <c r="B10" s="5">
        <f>67594.87</f>
        <v>67594.87</v>
      </c>
    </row>
    <row r="11" spans="1:2">
      <c r="A11" s="3" t="s">
        <v>6</v>
      </c>
      <c r="B11" s="6">
        <f>(B9)+(B10)</f>
        <v>133074.43</v>
      </c>
    </row>
    <row r="12" spans="1:2">
      <c r="A12" s="3" t="s">
        <v>7</v>
      </c>
      <c r="B12" s="4"/>
    </row>
    <row r="13" spans="1:2">
      <c r="A13" s="3" t="s">
        <v>8</v>
      </c>
      <c r="B13" s="5">
        <f>9</f>
        <v>9</v>
      </c>
    </row>
    <row r="14" spans="1:2">
      <c r="A14" s="3" t="s">
        <v>9</v>
      </c>
      <c r="B14" s="6">
        <f>B13</f>
        <v>9</v>
      </c>
    </row>
    <row r="15" spans="1:2">
      <c r="A15" s="3" t="s">
        <v>10</v>
      </c>
      <c r="B15" s="6">
        <f>(B11)+(B14)</f>
        <v>133083.43</v>
      </c>
    </row>
    <row r="16" spans="1:2">
      <c r="A16" s="3" t="s">
        <v>11</v>
      </c>
      <c r="B16" s="7">
        <f>B15</f>
        <v>133083.43</v>
      </c>
    </row>
    <row r="17" spans="1:2">
      <c r="A17" s="3" t="s">
        <v>12</v>
      </c>
      <c r="B17" s="4"/>
    </row>
    <row r="18" spans="1:2">
      <c r="A18" s="3" t="s">
        <v>13</v>
      </c>
      <c r="B18" s="4"/>
    </row>
    <row r="19" spans="1:2">
      <c r="A19" s="3" t="s">
        <v>14</v>
      </c>
      <c r="B19" s="4"/>
    </row>
    <row r="20" spans="1:2">
      <c r="A20" s="3" t="s">
        <v>15</v>
      </c>
      <c r="B20" s="5">
        <f>125089.93</f>
        <v>125089.93</v>
      </c>
    </row>
    <row r="21" spans="1:2">
      <c r="A21" s="3" t="s">
        <v>16</v>
      </c>
      <c r="B21" s="5">
        <f>-3722.78</f>
        <v>-3722.78</v>
      </c>
    </row>
    <row r="22" spans="1:2">
      <c r="A22" s="3" t="s">
        <v>17</v>
      </c>
      <c r="B22" s="5">
        <f>11716.28</f>
        <v>11716.28</v>
      </c>
    </row>
    <row r="23" spans="1:2">
      <c r="A23" s="3" t="s">
        <v>18</v>
      </c>
      <c r="B23" s="6">
        <f>((B20)+(B21))+(B22)</f>
        <v>133083.43</v>
      </c>
    </row>
    <row r="24" spans="1:2">
      <c r="A24" s="3" t="s">
        <v>19</v>
      </c>
      <c r="B24" s="7">
        <f>(B18)+(B23)</f>
        <v>133083.43</v>
      </c>
    </row>
    <row r="25" spans="1:2">
      <c r="A25" s="3"/>
      <c r="B25" s="4"/>
    </row>
    <row r="28" spans="1:2">
      <c r="A28" s="31" t="s">
        <v>20</v>
      </c>
      <c r="B28" s="32"/>
    </row>
  </sheetData>
  <mergeCells count="4">
    <mergeCell ref="A28:B28"/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122E-71FF-4FC3-9581-9F63C86A0B67}">
  <sheetPr>
    <pageSetUpPr fitToPage="1"/>
  </sheetPr>
  <dimension ref="A1:O1001"/>
  <sheetViews>
    <sheetView workbookViewId="0">
      <selection sqref="A1:D1"/>
    </sheetView>
  </sheetViews>
  <sheetFormatPr defaultColWidth="14.42578125" defaultRowHeight="15" customHeight="1"/>
  <cols>
    <col min="1" max="1" width="39.28515625" style="8" customWidth="1"/>
    <col min="2" max="4" width="20.140625" style="8" customWidth="1"/>
    <col min="5" max="25" width="8.7109375" style="8" customWidth="1"/>
    <col min="26" max="16384" width="14.42578125" style="8"/>
  </cols>
  <sheetData>
    <row r="1" spans="1:15" ht="21">
      <c r="A1" s="35" t="s">
        <v>133</v>
      </c>
      <c r="B1" s="36"/>
      <c r="C1" s="36"/>
      <c r="D1" s="36"/>
    </row>
    <row r="2" spans="1:15" ht="21">
      <c r="A2" s="37" t="s">
        <v>161</v>
      </c>
      <c r="B2" s="36"/>
      <c r="C2" s="36"/>
      <c r="D2" s="36"/>
    </row>
    <row r="3" spans="1:15" ht="21">
      <c r="A3" s="37" t="s">
        <v>160</v>
      </c>
      <c r="B3" s="36"/>
      <c r="C3" s="36"/>
      <c r="D3" s="36"/>
    </row>
    <row r="4" spans="1:15">
      <c r="A4" s="24" t="s">
        <v>130</v>
      </c>
      <c r="B4" s="24" t="s">
        <v>128</v>
      </c>
      <c r="C4" s="22"/>
      <c r="D4" s="22"/>
    </row>
    <row r="5" spans="1:15">
      <c r="A5" s="22" t="s">
        <v>127</v>
      </c>
      <c r="B5" s="22"/>
      <c r="C5" s="22"/>
      <c r="D5" s="22"/>
    </row>
    <row r="6" spans="1:15">
      <c r="E6" s="30" t="s">
        <v>159</v>
      </c>
    </row>
    <row r="7" spans="1:15">
      <c r="A7" s="16" t="s">
        <v>126</v>
      </c>
      <c r="B7" s="16" t="s">
        <v>124</v>
      </c>
      <c r="C7" s="16" t="s">
        <v>158</v>
      </c>
      <c r="D7" s="29" t="s">
        <v>157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>
      <c r="A8" s="19"/>
      <c r="B8" s="14"/>
      <c r="C8" s="14"/>
      <c r="D8" s="27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>
      <c r="A9" s="19" t="s">
        <v>121</v>
      </c>
      <c r="B9" s="14">
        <v>40000</v>
      </c>
      <c r="C9" s="14">
        <v>39236.75</v>
      </c>
      <c r="D9" s="27">
        <v>40000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>
      <c r="A10" s="19" t="s">
        <v>120</v>
      </c>
      <c r="B10" s="14">
        <v>500</v>
      </c>
      <c r="C10" s="14">
        <v>500</v>
      </c>
      <c r="D10" s="27">
        <v>-400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>
      <c r="A11" s="19" t="s">
        <v>119</v>
      </c>
      <c r="B11" s="14">
        <v>2500</v>
      </c>
      <c r="C11" s="14">
        <v>2500</v>
      </c>
      <c r="D11" s="27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>
      <c r="A12" s="19" t="s">
        <v>118</v>
      </c>
      <c r="B12" s="14">
        <v>100</v>
      </c>
      <c r="C12" s="14">
        <v>100</v>
      </c>
      <c r="D12" s="27">
        <v>250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>
      <c r="A13" s="19" t="s">
        <v>117</v>
      </c>
      <c r="B13" s="14"/>
      <c r="C13" s="14"/>
      <c r="D13" s="27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>
      <c r="A14" s="19" t="s">
        <v>116</v>
      </c>
      <c r="B14" s="14">
        <v>4000</v>
      </c>
      <c r="C14" s="14">
        <v>3350</v>
      </c>
      <c r="D14" s="27">
        <v>3500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>
      <c r="A15" s="19" t="s">
        <v>115</v>
      </c>
      <c r="B15" s="14">
        <v>1300</v>
      </c>
      <c r="C15" s="14">
        <v>1350</v>
      </c>
      <c r="D15" s="27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>
      <c r="A16" s="19" t="s">
        <v>114</v>
      </c>
      <c r="B16" s="14"/>
      <c r="C16" s="14"/>
      <c r="D16" s="27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19" t="s">
        <v>113</v>
      </c>
      <c r="B17" s="14">
        <v>900</v>
      </c>
      <c r="C17" s="14">
        <v>11.25</v>
      </c>
      <c r="D17" s="27">
        <v>15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>
      <c r="A18" s="19" t="s">
        <v>112</v>
      </c>
      <c r="B18" s="14"/>
      <c r="C18" s="14">
        <v>0.12</v>
      </c>
      <c r="D18" s="2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20" t="s">
        <v>111</v>
      </c>
      <c r="B19" s="17">
        <f>SUM(B9:B18)</f>
        <v>49300</v>
      </c>
      <c r="C19" s="17">
        <f>SUM(C9:C18)</f>
        <v>47048.12</v>
      </c>
      <c r="D19" s="28">
        <f>SUM(D9:D18)</f>
        <v>43365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>
      <c r="A20" s="19"/>
      <c r="B20" s="14"/>
      <c r="C20" s="14"/>
      <c r="D20" s="27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.75" customHeight="1">
      <c r="A21" s="16" t="s">
        <v>110</v>
      </c>
      <c r="B21" s="14"/>
      <c r="C21" s="14"/>
      <c r="D21" s="27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5.75" customHeight="1">
      <c r="A22" s="19"/>
      <c r="B22" s="14"/>
      <c r="C22" s="14"/>
      <c r="D22" s="2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.75" customHeight="1">
      <c r="A23" s="19" t="s">
        <v>109</v>
      </c>
      <c r="B23" s="14"/>
      <c r="C23" s="14"/>
      <c r="D23" s="2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.75" customHeight="1">
      <c r="A24" s="19" t="s">
        <v>156</v>
      </c>
      <c r="B24" s="14"/>
      <c r="C24" s="14"/>
      <c r="D24" s="27">
        <v>3000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5.75" customHeight="1">
      <c r="A25" s="19" t="s">
        <v>108</v>
      </c>
      <c r="B25" s="14">
        <v>36</v>
      </c>
      <c r="C25" s="14">
        <v>11</v>
      </c>
      <c r="D25" s="2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.75" customHeight="1">
      <c r="A26" s="19" t="s">
        <v>107</v>
      </c>
      <c r="B26" s="14">
        <v>1500</v>
      </c>
      <c r="C26" s="14">
        <v>1977</v>
      </c>
      <c r="D26" s="27">
        <v>1800</v>
      </c>
      <c r="E26" s="38" t="s">
        <v>155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5.75" customHeight="1">
      <c r="A27" s="19" t="s">
        <v>105</v>
      </c>
      <c r="B27" s="14">
        <v>50</v>
      </c>
      <c r="C27" s="14">
        <v>35.57</v>
      </c>
      <c r="D27" s="2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5.75" customHeight="1">
      <c r="A28" s="19" t="s">
        <v>104</v>
      </c>
      <c r="B28" s="14"/>
      <c r="C28" s="14">
        <v>540.95000000000005</v>
      </c>
      <c r="D28" s="27">
        <v>3000</v>
      </c>
      <c r="E28" s="38" t="s">
        <v>154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.75" customHeight="1">
      <c r="A29" s="19" t="s">
        <v>102</v>
      </c>
      <c r="B29" s="14">
        <v>2200</v>
      </c>
      <c r="C29" s="14">
        <f>2200+2432.1</f>
        <v>4632.1000000000004</v>
      </c>
      <c r="D29" s="27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.75" customHeight="1">
      <c r="A30" s="19" t="s">
        <v>100</v>
      </c>
      <c r="B30" s="14">
        <v>2000</v>
      </c>
      <c r="C30" s="14"/>
      <c r="D30" s="27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.75" customHeight="1">
      <c r="A31" s="19" t="s">
        <v>99</v>
      </c>
      <c r="B31" s="14">
        <v>400</v>
      </c>
      <c r="C31" s="14"/>
      <c r="D31" s="2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.75" customHeight="1">
      <c r="A32" s="19" t="s">
        <v>98</v>
      </c>
      <c r="B32" s="14"/>
      <c r="C32" s="14">
        <v>585</v>
      </c>
      <c r="D32" s="2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.75" customHeight="1">
      <c r="A33" s="19" t="s">
        <v>97</v>
      </c>
      <c r="B33" s="14">
        <v>3839</v>
      </c>
      <c r="C33" s="14">
        <v>303.42</v>
      </c>
      <c r="D33" s="27">
        <v>5000</v>
      </c>
      <c r="E33" s="38" t="s">
        <v>153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.75" customHeight="1">
      <c r="A34" s="19" t="s">
        <v>96</v>
      </c>
      <c r="B34" s="14">
        <v>100</v>
      </c>
      <c r="C34" s="14"/>
      <c r="D34" s="27">
        <v>1000</v>
      </c>
      <c r="E34" s="38" t="s">
        <v>152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.75" customHeight="1">
      <c r="A35" s="19" t="s">
        <v>95</v>
      </c>
      <c r="B35" s="14">
        <v>6000</v>
      </c>
      <c r="C35" s="14">
        <v>3000</v>
      </c>
      <c r="D35" s="27">
        <v>9000</v>
      </c>
      <c r="E35" s="38" t="s">
        <v>151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.75" customHeight="1">
      <c r="A36" s="19" t="s">
        <v>94</v>
      </c>
      <c r="B36" s="14">
        <v>3000</v>
      </c>
      <c r="C36" s="14">
        <v>3000</v>
      </c>
      <c r="D36" s="27">
        <v>6000</v>
      </c>
      <c r="E36" s="38" t="s">
        <v>150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.75" customHeight="1">
      <c r="A37" s="19" t="s">
        <v>149</v>
      </c>
      <c r="B37" s="14"/>
      <c r="C37" s="14"/>
      <c r="D37" s="27">
        <v>10000</v>
      </c>
      <c r="E37" s="38" t="s">
        <v>148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15.75" customHeight="1">
      <c r="A38" s="19" t="s">
        <v>91</v>
      </c>
      <c r="B38" s="14">
        <v>2250</v>
      </c>
      <c r="C38" s="14">
        <v>1950</v>
      </c>
      <c r="D38" s="27"/>
      <c r="E38" s="38" t="s">
        <v>147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15.75" customHeight="1">
      <c r="A39" s="19" t="s">
        <v>90</v>
      </c>
      <c r="B39" s="14">
        <v>1000</v>
      </c>
      <c r="C39" s="14">
        <v>950</v>
      </c>
      <c r="D39" s="27">
        <v>1000</v>
      </c>
      <c r="E39" s="38" t="s">
        <v>146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5.75" customHeight="1">
      <c r="A40" s="19" t="s">
        <v>89</v>
      </c>
      <c r="B40" s="14">
        <v>1000</v>
      </c>
      <c r="C40" s="14">
        <v>137.80000000000001</v>
      </c>
      <c r="D40" s="27">
        <v>200</v>
      </c>
      <c r="E40" s="38" t="s">
        <v>145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.75" customHeight="1">
      <c r="A41" s="19" t="s">
        <v>88</v>
      </c>
      <c r="B41" s="14">
        <v>5000</v>
      </c>
      <c r="C41" s="14">
        <v>8923.06</v>
      </c>
      <c r="D41" s="27">
        <v>5000</v>
      </c>
      <c r="E41" s="38" t="s">
        <v>144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15.75" customHeight="1">
      <c r="A42" s="19" t="s">
        <v>87</v>
      </c>
      <c r="B42" s="14">
        <v>200</v>
      </c>
      <c r="C42" s="14">
        <v>22.24</v>
      </c>
      <c r="D42" s="27">
        <v>100</v>
      </c>
      <c r="E42" s="38" t="s">
        <v>143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15.75" customHeight="1">
      <c r="A43" s="19" t="s">
        <v>86</v>
      </c>
      <c r="B43" s="14">
        <v>4000</v>
      </c>
      <c r="C43" s="14">
        <v>1650</v>
      </c>
      <c r="D43" s="27">
        <v>3500</v>
      </c>
      <c r="E43" s="38" t="s">
        <v>142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5.75" customHeight="1">
      <c r="A44" s="19" t="s">
        <v>85</v>
      </c>
      <c r="B44" s="14">
        <v>25</v>
      </c>
      <c r="C44" s="14">
        <v>22</v>
      </c>
      <c r="D44" s="27">
        <v>20</v>
      </c>
      <c r="E44" s="38" t="s">
        <v>141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5.75" customHeight="1">
      <c r="A45" s="19" t="s">
        <v>84</v>
      </c>
      <c r="B45" s="14">
        <v>200</v>
      </c>
      <c r="C45" s="14">
        <v>159</v>
      </c>
      <c r="D45" s="27">
        <v>255</v>
      </c>
      <c r="E45" s="38" t="s">
        <v>140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5.75" customHeight="1">
      <c r="A46" s="19" t="s">
        <v>83</v>
      </c>
      <c r="B46" s="14">
        <v>1000</v>
      </c>
      <c r="C46" s="14"/>
      <c r="D46" s="27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.75" customHeight="1">
      <c r="A47" s="19" t="s">
        <v>82</v>
      </c>
      <c r="B47" s="14"/>
      <c r="C47" s="14">
        <v>-4850</v>
      </c>
      <c r="D47" s="27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15.75" customHeight="1">
      <c r="A48" s="19" t="s">
        <v>81</v>
      </c>
      <c r="B48" s="14">
        <v>600</v>
      </c>
      <c r="C48" s="14">
        <v>458.06</v>
      </c>
      <c r="D48" s="27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5.75" customHeight="1">
      <c r="A49" s="19" t="s">
        <v>79</v>
      </c>
      <c r="B49" s="14">
        <v>1200</v>
      </c>
      <c r="C49" s="14">
        <v>1150.6500000000001</v>
      </c>
      <c r="D49" s="27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5.75" customHeight="1">
      <c r="A50" s="19" t="s">
        <v>78</v>
      </c>
      <c r="B50" s="14">
        <v>2000</v>
      </c>
      <c r="C50" s="14">
        <v>1073</v>
      </c>
      <c r="D50" s="27">
        <v>2000</v>
      </c>
      <c r="E50" s="38" t="s">
        <v>139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5.75" customHeight="1">
      <c r="A51" s="19" t="s">
        <v>77</v>
      </c>
      <c r="B51" s="14">
        <v>2700</v>
      </c>
      <c r="C51" s="14">
        <v>3345.21</v>
      </c>
      <c r="D51" s="27">
        <v>3000</v>
      </c>
      <c r="E51" s="38" t="s">
        <v>138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5.75" customHeight="1">
      <c r="A52" s="19" t="s">
        <v>137</v>
      </c>
      <c r="B52" s="14"/>
      <c r="C52" s="14"/>
      <c r="D52" s="27">
        <v>500</v>
      </c>
      <c r="E52" s="38" t="s">
        <v>136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customHeight="1">
      <c r="A53" s="19" t="s">
        <v>76</v>
      </c>
      <c r="B53" s="14">
        <v>5000</v>
      </c>
      <c r="C53" s="14">
        <v>5075.8999999999996</v>
      </c>
      <c r="D53" s="27">
        <v>5250</v>
      </c>
      <c r="E53" s="38" t="s">
        <v>135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ht="15.75" customHeight="1">
      <c r="A54" s="19" t="s">
        <v>75</v>
      </c>
      <c r="B54" s="17"/>
      <c r="C54" s="14">
        <v>0.12</v>
      </c>
      <c r="D54" s="27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ht="15.75" customHeight="1">
      <c r="A55" s="16" t="s">
        <v>74</v>
      </c>
      <c r="B55" s="17">
        <f>SUM(B25:B53)</f>
        <v>45300</v>
      </c>
      <c r="C55" s="17">
        <f>SUM(C25:C54)</f>
        <v>34152.080000000009</v>
      </c>
      <c r="D55" s="28">
        <f>SUM(D25:D54)</f>
        <v>56625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5.75" customHeight="1">
      <c r="A56" s="16"/>
      <c r="B56" s="14"/>
      <c r="C56" s="14"/>
      <c r="D56" s="27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ht="15.75" customHeight="1">
      <c r="A57" s="26" t="s">
        <v>73</v>
      </c>
      <c r="B57" s="14">
        <f>B19-B55</f>
        <v>4000</v>
      </c>
      <c r="C57" s="14">
        <f>C19-C55</f>
        <v>12896.039999999994</v>
      </c>
      <c r="D57" s="25">
        <f>D19-D55</f>
        <v>-13260</v>
      </c>
      <c r="E57" s="38" t="s">
        <v>134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ht="15.75" customHeight="1"/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4">
    <mergeCell ref="E51:O51"/>
    <mergeCell ref="E52:O52"/>
    <mergeCell ref="E53:O53"/>
    <mergeCell ref="E54:O54"/>
    <mergeCell ref="E55:O55"/>
    <mergeCell ref="E56:O56"/>
    <mergeCell ref="E57:O57"/>
    <mergeCell ref="E42:O42"/>
    <mergeCell ref="E43:O43"/>
    <mergeCell ref="E44:O44"/>
    <mergeCell ref="E45:O45"/>
    <mergeCell ref="E47:O47"/>
    <mergeCell ref="E34:O34"/>
    <mergeCell ref="E35:O35"/>
    <mergeCell ref="E36:O36"/>
    <mergeCell ref="E37:O37"/>
    <mergeCell ref="E41:O41"/>
    <mergeCell ref="E50:O50"/>
    <mergeCell ref="E24:O24"/>
    <mergeCell ref="E25:O25"/>
    <mergeCell ref="E26:O26"/>
    <mergeCell ref="E27:O27"/>
    <mergeCell ref="E28:O28"/>
    <mergeCell ref="E39:O39"/>
    <mergeCell ref="E40:O40"/>
    <mergeCell ref="E32:O32"/>
    <mergeCell ref="E33:O33"/>
    <mergeCell ref="E48:O48"/>
    <mergeCell ref="E46:O46"/>
    <mergeCell ref="E29:O29"/>
    <mergeCell ref="E30:O30"/>
    <mergeCell ref="E31:O31"/>
    <mergeCell ref="E49:O49"/>
    <mergeCell ref="A1:D1"/>
    <mergeCell ref="A2:D2"/>
    <mergeCell ref="A3:D3"/>
    <mergeCell ref="E7:O7"/>
    <mergeCell ref="E8:O8"/>
    <mergeCell ref="E38:O38"/>
    <mergeCell ref="E9:O9"/>
    <mergeCell ref="E10:O10"/>
    <mergeCell ref="E11:O11"/>
    <mergeCell ref="E12:O12"/>
    <mergeCell ref="E13:O13"/>
    <mergeCell ref="E19:O19"/>
    <mergeCell ref="E20:O20"/>
    <mergeCell ref="E21:O21"/>
    <mergeCell ref="E22:O22"/>
    <mergeCell ref="E23:O23"/>
    <mergeCell ref="E14:O14"/>
    <mergeCell ref="E15:O15"/>
    <mergeCell ref="E16:O16"/>
    <mergeCell ref="E17:O17"/>
    <mergeCell ref="E18:O18"/>
  </mergeCells>
  <conditionalFormatting sqref="D57">
    <cfRule type="cellIs" dxfId="0" priority="1" operator="lessThan">
      <formula>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 and Loss</vt:lpstr>
      <vt:lpstr>Budget &amp; Variance</vt:lpstr>
      <vt:lpstr>Balance Sheet</vt:lpstr>
      <vt:lpstr>FY 2019-2020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Jennifer Stratton</cp:lastModifiedBy>
  <dcterms:created xsi:type="dcterms:W3CDTF">2019-09-06T22:29:45Z</dcterms:created>
  <dcterms:modified xsi:type="dcterms:W3CDTF">2019-10-17T17:32:25Z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